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220419\Downloads\Veröffentlichung\"/>
    </mc:Choice>
  </mc:AlternateContent>
  <xr:revisionPtr revIDLastSave="0" documentId="13_ncr:1_{55533371-3EBE-4730-8165-60779C88B110}" xr6:coauthVersionLast="46" xr6:coauthVersionMax="46" xr10:uidLastSave="{00000000-0000-0000-0000-000000000000}"/>
  <bookViews>
    <workbookView xWindow="22932" yWindow="-108" windowWidth="23256" windowHeight="1272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7" l="1"/>
  <c r="M12" i="7"/>
  <c r="N12" i="7"/>
  <c r="O12" i="7"/>
  <c r="P12" i="7"/>
  <c r="L13" i="7"/>
  <c r="M13" i="7"/>
  <c r="N13" i="7"/>
  <c r="O13" i="7"/>
  <c r="P13" i="7"/>
  <c r="J14" i="7"/>
  <c r="E7" i="17"/>
  <c r="E6" i="17"/>
  <c r="E4" i="17"/>
  <c r="J8" i="7"/>
  <c r="F19" i="1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L21" i="18"/>
  <c r="K21" i="18"/>
  <c r="H21" i="18"/>
  <c r="I21" i="18"/>
  <c r="J21" i="18"/>
  <c r="N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S12" i="7"/>
  <c r="T12" i="7"/>
  <c r="U12" i="7"/>
  <c r="V12" i="7"/>
  <c r="W12" i="7"/>
  <c r="R12" i="7"/>
  <c r="X12" i="7" l="1"/>
  <c r="X13" i="7"/>
  <c r="X11" i="7"/>
  <c r="X16" i="7"/>
  <c r="X15" i="7"/>
  <c r="X17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4" i="7" l="1"/>
  <c r="I15" i="7"/>
  <c r="M15" i="7"/>
  <c r="H16" i="7"/>
  <c r="L16" i="7"/>
  <c r="P16" i="7"/>
  <c r="K17" i="7"/>
  <c r="O17" i="7"/>
  <c r="N11" i="7"/>
  <c r="L11" i="7"/>
  <c r="H11" i="7"/>
  <c r="L14" i="7"/>
  <c r="K15" i="7"/>
  <c r="N16" i="7"/>
  <c r="M17" i="7"/>
  <c r="P11" i="7"/>
  <c r="I14" i="7"/>
  <c r="H15" i="7"/>
  <c r="P15" i="7"/>
  <c r="O16" i="7"/>
  <c r="N17" i="7"/>
  <c r="M11" i="7"/>
  <c r="K14" i="7"/>
  <c r="O14" i="7"/>
  <c r="J15" i="7"/>
  <c r="N15" i="7"/>
  <c r="I16" i="7"/>
  <c r="M16" i="7"/>
  <c r="H17" i="7"/>
  <c r="L17" i="7"/>
  <c r="P17" i="7"/>
  <c r="O11" i="7"/>
  <c r="J11" i="7"/>
  <c r="H14" i="7"/>
  <c r="P14" i="7"/>
  <c r="O15" i="7"/>
  <c r="J16" i="7"/>
  <c r="I17" i="7"/>
  <c r="K11" i="7"/>
  <c r="M14" i="7"/>
  <c r="L15" i="7"/>
  <c r="K16" i="7"/>
  <c r="J17" i="7"/>
  <c r="I11" i="7"/>
  <c r="F17" i="7"/>
  <c r="F15" i="7"/>
  <c r="F16" i="7"/>
  <c r="F14" i="7"/>
  <c r="F11" i="7"/>
  <c r="M8" i="4"/>
  <c r="M7" i="4"/>
  <c r="C5" i="1"/>
  <c r="D6" i="15"/>
  <c r="D6" i="7"/>
  <c r="Q13" i="7" l="1"/>
  <c r="Q15" i="7"/>
  <c r="Q11" i="7"/>
  <c r="Q12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<sst xmlns="http://schemas.openxmlformats.org/spreadsheetml/2006/main" count="1379" uniqueCount="672">
  <si>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</si>
  <si>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</si>
  <si>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</si>
  <si>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</si>
  <si>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</si>
  <si>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</si>
  <si>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</si>
  <si>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</si>
  <si>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</si>
  <si>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</si>
  <si>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</si>
  <si>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</si>
  <si>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</si>
  <si>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</si>
  <si>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</si>
  <si>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</si>
  <si>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</si>
  <si>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</si>
  <si>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</si>
  <si>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</si>
  <si>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</si>
  <si>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</si>
  <si>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</si>
  <si>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</si>
  <si>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</si>
  <si>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</si>
  <si>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</si>
  <si>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</si>
  <si>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</si>
  <si>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</si>
  <si>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</si>
  <si>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</si>
  <si>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</si>
  <si>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</si>
  <si>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</si>
  <si>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</si>
  <si>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</si>
  <si>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</si>
  <si>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</si>
  <si>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</si>
  <si>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</si>
  <si>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</si>
  <si>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</si>
  <si>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</si>
  <si>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</si>
  <si>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</si>
  <si>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</si>
  <si>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</si>
  <si>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</si>
  <si>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</si>
  <si>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</si>
  <si>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</si>
  <si>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</si>
  <si>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</si>
  <si>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</si>
  <si>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</si>
  <si>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</si>
  <si>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</si>
  <si>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</si>
  <si>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</si>
  <si>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</si>
  <si>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</si>
  <si>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</si>
  <si>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</si>
  <si>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</si>
  <si>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</si>
  <si>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</si>
  <si>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</si>
  <si>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</si>
  <si>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</si>
  <si>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</si>
  <si>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</si>
  <si>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</si>
  <si>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</si>
  <si>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</si>
  <si>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</si>
  <si>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</si>
  <si>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</si>
  <si>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</si>
  <si>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</si>
  <si>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</si>
  <si>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</si>
  <si>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</si>
  <si>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</si>
  <si>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</si>
  <si>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</si>
  <si>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</si>
  <si>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</si>
  <si>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</si>
  <si>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</si>
  <si>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</si>
  <si>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</si>
  <si>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</si>
  <si>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</si>
  <si>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</si>
  <si>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</si>
  <si>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</si>
  <si>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</si>
  <si>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</si>
  <si>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</si>
  <si>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</si>
  <si>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</si>
  <si>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</si>
  <si>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</si>
  <si>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</si>
  <si>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</si>
  <si>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</si>
  <si>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</si>
  <si>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</si>
  <si>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</si>
  <si>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</si>
  <si>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</si>
  <si>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</si>
  <si>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</si>
  <si>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</si>
  <si>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</si>
  <si>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</si>
  <si>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</si>
  <si>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</si>
  <si>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</si>
  <si>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</si>
  <si>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</si>
  <si>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</si>
  <si>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</si>
  <si>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</si>
  <si>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</si>
  <si>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</si>
  <si>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</si>
  <si>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</si>
  <si>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</si>
  <si>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</si>
  <si>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</si>
  <si>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</si>
  <si>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</si>
  <si>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</si>
  <si>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</si>
  <si>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</si>
  <si>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</si>
  <si>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</si>
  <si>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</si>
  <si>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</si>
  <si>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</si>
  <si>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</si>
  <si>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</si>
  <si>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</si>
  <si>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</si>
  <si>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</si>
  <si>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</si>
  <si>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</si>
  <si>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</si>
  <si>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</si>
  <si>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</si>
  <si>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</si>
  <si>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</si>
  <si>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</si>
  <si>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</si>
  <si>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</si>
  <si>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</si>
  <si>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</si>
  <si>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</si>
  <si>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</si>
  <si>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</si>
  <si>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</si>
  <si>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</si>
  <si>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</si>
  <si>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</si>
  <si>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</si>
  <si>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</si>
  <si>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</si>
  <si>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</si>
  <si>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</si>
  <si>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</si>
  <si>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</si>
  <si>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</si>
  <si>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</si>
  <si>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</si>
  <si>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</si>
  <si>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</si>
  <si>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</si>
  <si>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</si>
  <si>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</si>
  <si>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</si>
  <si>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</si>
  <si>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</si>
  <si>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</si>
  <si>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</si>
  <si>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</si>
  <si>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</si>
  <si>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</si>
  <si>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</si>
  <si>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</si>
  <si>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</si>
  <si>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</si>
  <si>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</si>
  <si>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</si>
  <si>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</si>
  <si>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</si>
  <si>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</si>
  <si>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</si>
  <si>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</si>
  <si>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</si>
  <si>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</si>
  <si>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</si>
  <si>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</si>
  <si>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</si>
  <si>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</si>
  <si>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</si>
  <si>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</si>
  <si>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</si>
  <si>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</si>
  <si>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</si>
  <si>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</si>
  <si>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</si>
  <si>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</si>
  <si>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</si>
  <si>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</si>
  <si>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</si>
  <si>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</si>
  <si>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</si>
  <si>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</si>
  <si>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</si>
  <si>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</si>
  <si>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</si>
  <si>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</si>
  <si>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</si>
  <si>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</si>
  <si>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</si>
  <si>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</si>
  <si>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</si>
  <si>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</si>
  <si>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</si>
  <si>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</si>
  <si>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</si>
  <si>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</si>
  <si>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</si>
  <si>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</si>
  <si>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</si>
  <si>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</si>
  <si>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</si>
  <si>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</si>
  <si>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</si>
  <si>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</si>
  <si>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</si>
  <si>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</si>
  <si>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</si>
  <si>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</si>
  <si>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</si>
  <si>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</si>
  <si>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</si>
  <si>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</si>
  <si>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</si>
  <si>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</si>
  <si>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</si>
  <si>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</si>
  <si>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</si>
  <si>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</si>
  <si>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</si>
  <si>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</si>
  <si>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</si>
  <si>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</si>
  <si>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</si>
  <si>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</si>
  <si>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</si>
  <si>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</si>
  <si>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</si>
  <si>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</si>
  <si>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</si>
  <si>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</si>
  <si>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</si>
  <si>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</si>
  <si>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</si>
  <si>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</si>
  <si>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</si>
  <si>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</si>
  <si>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</si>
  <si>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</si>
  <si>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</si>
  <si>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</si>
  <si>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</si>
  <si>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</si>
  <si>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</si>
  <si>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</si>
  <si>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</si>
  <si>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</si>
  <si>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</si>
  <si>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</si>
  <si>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</si>
  <si>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</si>
  <si>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</si>
  <si>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</si>
  <si>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</si>
  <si>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</si>
  <si>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</si>
  <si>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</si>
  <si>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</si>
  <si>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</si>
  <si>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</si>
  <si>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</si>
  <si>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</si>
  <si>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</si>
  <si>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</si>
  <si>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</si>
  <si>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</si>
  <si>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</si>
  <si>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</si>
  <si>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</si>
  <si>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</si>
  <si>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</si>
  <si>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</si>
  <si>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</si>
  <si>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</si>
  <si>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</si>
  <si>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</si>
  <si>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</si>
  <si>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</si>
  <si>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</si>
  <si>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</si>
  <si>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</si>
  <si>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</si>
  <si>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</si>
  <si>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</si>
  <si>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</si>
  <si>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</si>
  <si>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</si>
  <si>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</si>
  <si>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</si>
  <si>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</si>
  <si>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</si>
  <si>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</si>
  <si>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</si>
  <si>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</si>
  <si>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</si>
  <si>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</si>
  <si>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</si>
  <si>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</si>
  <si>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</si>
  <si>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</si>
  <si>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</si>
  <si>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</si>
  <si>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</si>
  <si>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</si>
  <si>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</si>
  <si>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</si>
  <si>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</si>
  <si>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</si>
  <si>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</si>
  <si>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</si>
  <si>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</si>
  <si>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</si>
  <si>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</si>
  <si>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</si>
  <si>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</si>
  <si>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</si>
  <si>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</si>
  <si>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</si>
  <si>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</si>
  <si>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</si>
  <si>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</si>
  <si>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</si>
  <si>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</si>
  <si>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</si>
  <si>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</si>
  <si>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</si>
  <si>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</si>
  <si>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</si>
  <si>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</si>
  <si>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</si>
  <si>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</si>
  <si>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</si>
  <si>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</si>
  <si>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</si>
  <si>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</si>
  <si>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</si>
  <si>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</si>
  <si>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</si>
  <si>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</si>
  <si>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</si>
  <si>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</si>
  <si>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</si>
  <si>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</si>
  <si>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</si>
  <si>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</si>
  <si>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</si>
  <si>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</si>
  <si>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</si>
  <si>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</si>
  <si>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</si>
  <si>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</si>
  <si>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</si>
  <si>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</si>
  <si>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</si>
  <si>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</si>
  <si>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</si>
  <si>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</si>
  <si>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</si>
  <si>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</si>
  <si>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</si>
  <si>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</si>
  <si>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</si>
  <si>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</si>
  <si>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</si>
  <si>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</si>
  <si>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</si>
  <si>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</si>
  <si>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</si>
  <si>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</si>
  <si>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</si>
  <si>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</si>
  <si>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</si>
  <si>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</si>
  <si>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</si>
  <si>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</si>
  <si>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</si>
  <si>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</si>
  <si>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</si>
  <si>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</si>
  <si>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</si>
  <si>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</si>
  <si>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</si>
  <si>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</si>
  <si>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</si>
  <si>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</si>
  <si>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</si>
  <si>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</si>
  <si>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</si>
  <si>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</si>
  <si>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</si>
  <si>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</si>
  <si>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</si>
  <si>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</si>
  <si>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</si>
  <si>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</si>
  <si>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</si>
  <si>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</si>
  <si>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</si>
  <si>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</si>
  <si>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</si>
  <si>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</si>
  <si>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</si>
  <si>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</si>
  <si>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</si>
  <si>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</si>
  <si>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</si>
  <si>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</si>
  <si>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</si>
  <si>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</si>
  <si>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</si>
  <si>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</si>
  <si>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</si>
  <si>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</si>
  <si>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</si>
  <si>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</si>
  <si>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</si>
  <si>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</si>
  <si>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</si>
  <si>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</si>
  <si>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</si>
  <si>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</si>
  <si>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</si>
  <si>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</si>
  <si>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</si>
  <si>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</si>
  <si>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</si>
  <si>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</si>
  <si>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</si>
  <si>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</si>
  <si>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</si>
  <si>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</si>
  <si>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</si>
  <si>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</si>
  <si>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</si>
  <si>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</si>
  <si>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</si>
  <si>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</si>
  <si>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</si>
  <si>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</si>
  <si>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</si>
  <si>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</si>
  <si>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</si>
  <si>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</si>
  <si>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</si>
  <si>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</si>
  <si>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</si>
  <si>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</si>
  <si>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</si>
  <si>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</si>
  <si>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</si>
  <si>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</si>
  <si>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</si>
  <si>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</si>
  <si>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</si>
  <si>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</si>
  <si>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</si>
  <si>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</si>
  <si>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</si>
  <si>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</si>
  <si>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</si>
  <si>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</si>
  <si>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</si>
  <si>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</si>
  <si>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</si>
  <si>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</si>
  <si>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</si>
  <si>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</si>
  <si>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</si>
  <si>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</si>
  <si>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</si>
  <si>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</si>
  <si>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</si>
  <si>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</si>
  <si>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</si>
  <si>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</si>
  <si>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</si>
  <si>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</si>
  <si>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</si>
  <si>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</si>
  <si>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</si>
  <si>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</si>
  <si>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</si>
  <si>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</si>
  <si>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</si>
  <si>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</si>
  <si>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</si>
  <si>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</si>
  <si>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</si>
  <si>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</si>
  <si>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</si>
  <si>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</si>
  <si>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</si>
  <si>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</si>
  <si>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</si>
  <si>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</si>
  <si>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</si>
  <si>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</si>
  <si>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</si>
  <si>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</si>
  <si>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</si>
  <si>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</si>
  <si>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</si>
  <si>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</si>
  <si>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</si>
  <si>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</si>
  <si>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</si>
  <si>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</si>
  <si>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</si>
  <si>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</si>
  <si>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</si>
  <si>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</si>
  <si>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</si>
  <si>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</si>
  <si>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</si>
  <si>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</si>
  <si>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</si>
  <si>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</si>
  <si>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</si>
  <si>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</si>
  <si>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</si>
  <si>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</si>
  <si>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</si>
  <si>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</si>
  <si>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</si>
  <si>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</si>
  <si>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</si>
  <si>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</si>
  <si>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</si>
  <si>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</si>
  <si>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</si>
  <si>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</si>
  <si>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</si>
  <si>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</si>
  <si>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</si>
  <si>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</si>
  <si>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</si>
  <si>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</si>
  <si>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</si>
  <si>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</si>
  <si>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</si>
  <si>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</si>
  <si>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</si>
  <si>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</si>
  <si>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</si>
  <si>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</si>
  <si>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</si>
  <si>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</si>
  <si>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</si>
  <si>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</si>
  <si>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</si>
  <si>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</si>
  <si>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</si>
  <si>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</si>
  <si>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</si>
  <si>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</si>
  <si>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</si>
  <si>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</si>
  <si>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</si>
  <si>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</si>
  <si>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</si>
  <si>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</si>
  <si>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</si>
  <si>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</si>
  <si>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</si>
  <si>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</si>
  <si>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</si>
  <si>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</si>
  <si>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</si>
  <si>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</si>
  <si>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</si>
  <si>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</si>
  <si>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</si>
  <si>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</si>
  <si>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</si>
  <si>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</si>
  <si>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</si>
  <si>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</si>
  <si>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</si>
  <si>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</si>
  <si>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</si>
  <si>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</si>
  <si>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</si>
  <si>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</si>
  <si>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</si>
  <si>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</si>
  <si>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</si>
  <si>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</si>
  <si>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</si>
  <si>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</si>
  <si>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</si>
  <si>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</si>
  <si>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</si>
  <si>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</si>
  <si>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</si>
  <si>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</si>
  <si>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</si>
  <si>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</si>
  <si>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</si>
  <si>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</si>
  <si>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</si>
  <si>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</si>
  <si>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</si>
  <si>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</si>
  <si>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</si>
  <si>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</si>
  <si>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</si>
  <si>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</si>
  <si>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</si>
  <si>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</si>
  <si>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</si>
  <si>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</si>
  <si>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</si>
  <si>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</si>
  <si>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</si>
  <si>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</si>
  <si>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</si>
  <si>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</si>
  <si>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</si>
  <si>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</si>
  <si>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</si>
  <si>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Bilanzkreismanagement</t>
  </si>
  <si>
    <t>bilanzkreismanagement@bs-netz.de</t>
  </si>
  <si>
    <t>Weißwasser</t>
  </si>
  <si>
    <t>Ind.-Koef.</t>
  </si>
  <si>
    <t>DE_GMK04</t>
  </si>
  <si>
    <t>DE_GHA04</t>
  </si>
  <si>
    <t>DE_GKO04</t>
  </si>
  <si>
    <t>DE_HMF04</t>
  </si>
  <si>
    <t>DE_HEF04</t>
  </si>
  <si>
    <t>Stadtwerke Weißwasser GmbH</t>
  </si>
  <si>
    <t>Straße des Friedens 13-19</t>
  </si>
  <si>
    <t>THE0NKH700421000</t>
  </si>
  <si>
    <t>Bad Muskau</t>
  </si>
  <si>
    <t>WW1</t>
  </si>
  <si>
    <t>WW2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</si>
</sst>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0_ ;\-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7" fillId="33" borderId="17" xfId="152" applyFill="1" applyBorder="1" applyAlignment="1" applyProtection="1">
      <alignment horizontal="center"/>
      <protection locked="0"/>
    </xf>
    <xf numFmtId="196" fontId="0" fillId="33" borderId="17" xfId="1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257304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lanzkreismanagement@bs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4.4" zeroHeight="1"/>
  <cols>
    <col min="1" max="1" width="2.777343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5" sqref="D5"/>
    </sheetView>
  </sheetViews>
  <sheetFormatPr baseColWidth="10" defaultColWidth="0" defaultRowHeight="14.4" zeroHeight="1"/>
  <cols>
    <col min="1" max="1" width="2.77734375" style="8" customWidth="1"/>
    <col min="2" max="2" width="5.77734375" style="2" customWidth="1"/>
    <col min="3" max="3" width="65" customWidth="1"/>
    <col min="4" max="4" width="35.77734375" customWidth="1"/>
    <col min="5" max="5" width="11.44140625" customWidth="1"/>
    <col min="6" max="6" width="75.7773437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42370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666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>
        <v>9870042100006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667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2943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657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1" t="s">
        <v>658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/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Weißwasser</v>
      </c>
      <c r="E28" s="38"/>
      <c r="F28" s="11"/>
      <c r="G28" s="2"/>
    </row>
    <row r="29" spans="1:15">
      <c r="B29" s="15"/>
      <c r="C29" s="22" t="s">
        <v>393</v>
      </c>
      <c r="D29" s="44" t="s">
        <v>659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disablePrompts="1"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46" sqref="D46"/>
    </sheetView>
  </sheetViews>
  <sheetFormatPr baseColWidth="10" defaultColWidth="0" defaultRowHeight="18" customHeight="1"/>
  <cols>
    <col min="1" max="1" width="2.77734375" style="8" customWidth="1"/>
    <col min="2" max="2" width="5.77734375" style="8" customWidth="1"/>
    <col min="3" max="3" width="51.44140625" style="8" customWidth="1"/>
    <col min="4" max="4" width="33.21875" style="8" customWidth="1"/>
    <col min="5" max="5" width="26.5546875" style="8" customWidth="1"/>
    <col min="6" max="39" width="8.77734375" style="13" hidden="1" customWidth="1"/>
    <col min="40" max="16384" width="8.777343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Weißwasser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Weißwasser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53">
        <f>Netzbetreiber!$D$11</f>
        <v>9870042100006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668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6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659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B10" zoomScaleNormal="100" workbookViewId="0">
      <selection activeCell="E23" sqref="E23"/>
    </sheetView>
  </sheetViews>
  <sheetFormatPr baseColWidth="10" defaultColWidth="0" defaultRowHeight="14.4" zeroHeight="1"/>
  <cols>
    <col min="1" max="1" width="2.777343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2" style="128" customWidth="1"/>
    <col min="6" max="14" width="12.77734375" style="128" customWidth="1"/>
    <col min="15" max="15" width="34.21875" style="128" customWidth="1"/>
    <col min="16" max="16" width="7.21875" style="170" hidden="1" customWidth="1"/>
    <col min="17" max="18" width="7.2187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21875" style="209" hidden="1" customWidth="1"/>
    <col min="24" max="24" width="5" style="209" hidden="1" customWidth="1"/>
    <col min="25" max="25" width="8.21875" style="209" hidden="1" customWidth="1"/>
    <col min="26" max="26" width="11.77734375" style="209" hidden="1" customWidth="1"/>
    <col min="27" max="27" width="8.777343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4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Netzbetreiber!D9</f>
        <v>Stadtwerke Weißwasser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Weißwasser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53">
        <f>Netzbetreiber!D11</f>
        <v>9870042100006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f>Netzbetreiber!D6</f>
        <v>42370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Weißwasser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6" t="s">
        <v>584</v>
      </c>
      <c r="D13" s="356"/>
      <c r="E13" s="356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7" t="s">
        <v>445</v>
      </c>
      <c r="D14" s="357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7" t="s">
        <v>385</v>
      </c>
      <c r="D15" s="357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 t="b">
        <f>E23=IF(F20&gt;$F$18,0,1)</f>
        <v>0</v>
      </c>
      <c r="G19" s="178">
        <f t="shared" ref="G19:N19" si="0">IF(G20&gt;$F$18,0,1)</f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669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10489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Bad Muskau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10489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8" t="s">
        <v>580</v>
      </c>
      <c r="D73" s="358"/>
      <c r="E73" s="358"/>
      <c r="F73" s="358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777343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77734375" style="128" customWidth="1"/>
    <col min="15" max="15" width="34.21875" style="128" customWidth="1"/>
    <col min="16" max="16" width="7.21875" style="170" customWidth="1"/>
    <col min="17" max="18" width="7.2187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21875" style="209" hidden="1" customWidth="1"/>
    <col min="24" max="24" width="5" style="209" hidden="1" customWidth="1"/>
    <col min="25" max="25" width="8.21875" style="209" hidden="1" customWidth="1"/>
    <col min="26" max="26" width="11.77734375" style="209" hidden="1" customWidth="1"/>
    <col min="27" max="27" width="8.777343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6383" width="22.5546875" style="56" hidden="1"/>
    <col min="16384" max="16384" width="1" style="56" hidden="1" customWidth="1"/>
  </cols>
  <sheetData>
    <row r="1" spans="1:56" ht="75" customHeight="1"/>
    <row r="2" spans="1:56" ht="23.4">
      <c r="B2" s="171" t="s">
        <v>544</v>
      </c>
    </row>
    <row r="3" spans="1:56" ht="15" customHeight="1">
      <c r="B3" s="171"/>
    </row>
    <row r="4" spans="1:56" ht="14.4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 ht="14.4">
      <c r="B5" s="130"/>
      <c r="C5" s="55" t="s">
        <v>441</v>
      </c>
      <c r="D5" s="56"/>
      <c r="E5" s="57" t="str">
        <f>Netzbetreiber!D28</f>
        <v>Weißwasser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 ht="14.4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56" t="s">
        <v>584</v>
      </c>
      <c r="D13" s="356"/>
      <c r="E13" s="356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7" t="s">
        <v>445</v>
      </c>
      <c r="D14" s="357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7" t="s">
        <v>385</v>
      </c>
      <c r="D15" s="357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 ht="14.4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 ht="14.4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5.6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 ht="14.4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 ht="14.4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 ht="14.4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 ht="14.4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 ht="14.4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 ht="14.4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 ht="14.4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 ht="14.4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 ht="14.4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 ht="14.4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 ht="14.4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 ht="14.4"/>
    <row r="72" spans="2:15" ht="15.75" customHeight="1">
      <c r="C72" s="358" t="s">
        <v>580</v>
      </c>
      <c r="D72" s="358"/>
      <c r="E72" s="358"/>
      <c r="F72" s="358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5" zoomScaleNormal="85" workbookViewId="0">
      <selection activeCell="M13" sqref="M13"/>
    </sheetView>
  </sheetViews>
  <sheetFormatPr baseColWidth="10" defaultColWidth="0" defaultRowHeight="14.4" zeroHeight="1"/>
  <cols>
    <col min="1" max="1" width="2.77734375" style="128" customWidth="1"/>
    <col min="2" max="2" width="8" style="128" customWidth="1"/>
    <col min="3" max="3" width="37.44140625" style="128" customWidth="1"/>
    <col min="4" max="4" width="16.6640625" style="128" bestFit="1" customWidth="1"/>
    <col min="5" max="6" width="11.44140625" style="128" customWidth="1"/>
    <col min="8" max="8" width="12.77734375" style="128" customWidth="1"/>
    <col min="9" max="9" width="15.44140625" style="128" customWidth="1"/>
    <col min="10" max="11" width="12.77734375" style="128" customWidth="1"/>
    <col min="12" max="12" width="11.44140625" style="128" customWidth="1"/>
    <col min="13" max="16" width="12.77734375" style="128" customWidth="1"/>
    <col min="17" max="17" width="14.21875" style="128" customWidth="1"/>
    <col min="18" max="24" width="11.44140625" style="128" customWidth="1"/>
    <col min="25" max="25" width="20.218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Weißwasser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Weißwasser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54">
        <f>Netzbetreiber!$D$11</f>
        <v>9870042100006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42370</v>
      </c>
      <c r="E8" s="130"/>
      <c r="F8" s="130"/>
      <c r="H8" s="128" t="s">
        <v>493</v>
      </c>
      <c r="J8" s="132">
        <f>COUNTA(D12:D100)</f>
        <v>6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Weißwasser</v>
      </c>
      <c r="D12" s="62" t="s">
        <v>660</v>
      </c>
      <c r="E12" s="165" t="s">
        <v>665</v>
      </c>
      <c r="F12" s="307" t="s">
        <v>670</v>
      </c>
      <c r="H12" s="278">
        <v>4.9116137999999996</v>
      </c>
      <c r="I12" s="278">
        <v>-40.776535000000003</v>
      </c>
      <c r="J12" s="278">
        <v>5.7298456</v>
      </c>
      <c r="K12" s="278">
        <v>8.9008599999999993E-2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17" si="1">($H12/(1+($I12/($Q$9-$L12))^$J12)+$K12)+MAX($M12*$Q$9+$N12,$O12*$Q$9+$P12)</f>
        <v>1.069404738734989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Weißwasser</v>
      </c>
      <c r="D13" s="62" t="s">
        <v>660</v>
      </c>
      <c r="E13" s="165" t="s">
        <v>664</v>
      </c>
      <c r="F13" s="307" t="s">
        <v>671</v>
      </c>
      <c r="H13" s="278">
        <v>3.9740568000000001</v>
      </c>
      <c r="I13" s="278">
        <v>-39.998930999999999</v>
      </c>
      <c r="J13" s="278">
        <v>6.4114331</v>
      </c>
      <c r="K13" s="278">
        <v>0.19758500000000001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0.96466144931262443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7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Weißwasser</v>
      </c>
      <c r="D14" s="62" t="s">
        <v>248</v>
      </c>
      <c r="E14" s="165" t="s">
        <v>4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Weißwasser</v>
      </c>
      <c r="D15" s="62" t="s">
        <v>248</v>
      </c>
      <c r="E15" s="165" t="s">
        <v>661</v>
      </c>
      <c r="F15" s="307" t="str">
        <f>VLOOKUP($E15,'BDEW-Standard'!$B$3:$M$94,F$9,0)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Weißwasser</v>
      </c>
      <c r="D16" s="62" t="s">
        <v>248</v>
      </c>
      <c r="E16" s="165" t="s">
        <v>662</v>
      </c>
      <c r="F16" s="307" t="str">
        <f>VLOOKUP($E16,'BDEW-Standard'!$B$3:$M$94,F$9,0)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Weißwasser</v>
      </c>
      <c r="D17" s="62" t="s">
        <v>248</v>
      </c>
      <c r="E17" s="165" t="s">
        <v>663</v>
      </c>
      <c r="F17" s="307" t="str">
        <f>VLOOKUP($E17,'BDEW-Standard'!$B$3:$M$94,F$9,0)</f>
        <v>KO4</v>
      </c>
      <c r="H17" s="278">
        <f>ROUND(VLOOKUP($E17,'BDEW-Standard'!$B$3:$M$94,H$9,0),7)</f>
        <v>3.4428942999999999</v>
      </c>
      <c r="I17" s="278">
        <f>ROUND(VLOOKUP($E17,'BDEW-Standard'!$B$3:$M$94,I$9,0),7)</f>
        <v>-36.659050399999998</v>
      </c>
      <c r="J17" s="278">
        <f>ROUND(VLOOKUP($E17,'BDEW-Standard'!$B$3:$M$94,J$9,0),7)</f>
        <v>7.6083226000000002</v>
      </c>
      <c r="K17" s="278">
        <f>ROUND(VLOOKUP($E17,'BDEW-Standard'!$B$3:$M$94,K$9,0),7)</f>
        <v>7.4685000000000001E-2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0.97768382110526542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Weißwasser</v>
      </c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 t="str">
        <f t="shared" si="0"/>
        <v>Weißwasser</v>
      </c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 t="str">
        <f t="shared" si="0"/>
        <v>Weißwasser</v>
      </c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 t="str">
        <f t="shared" si="0"/>
        <v>Weißwasser</v>
      </c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 t="str">
        <f t="shared" si="0"/>
        <v>Weißwasser</v>
      </c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 t="str">
        <f t="shared" si="0"/>
        <v>Weißwasser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Weißwasser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Weißwasser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Weißwasser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Weißwasser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Weißwasser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Weißwasser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Weißwasser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Weißwasser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Weißwasser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Weißwasser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Weißwasser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Weißwasser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Weißwasser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Weißwasser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Weißwasser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Weißwasser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Weißwasser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Weißwasser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11">
      <formula>ISERROR(F11)</formula>
    </cfRule>
  </conditionalFormatting>
  <conditionalFormatting sqref="E12:F41 Y12:Y41">
    <cfRule type="duplicateValues" dxfId="9" priority="33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8"/>
    <col min="4" max="4" width="19.77734375" style="128" customWidth="1"/>
    <col min="5" max="9" width="16" style="128" customWidth="1"/>
    <col min="10" max="10" width="15.21875" style="128" customWidth="1"/>
    <col min="11" max="12" width="16" style="128" customWidth="1"/>
    <col min="13" max="13" width="15.21875" style="128" customWidth="1"/>
    <col min="14" max="16384" width="11.441406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6.4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3.2" zeroHeight="1"/>
  <cols>
    <col min="1" max="1" width="2.77734375" style="75" customWidth="1"/>
    <col min="2" max="2" width="15.21875" style="75" customWidth="1"/>
    <col min="3" max="3" width="14.77734375" style="75" customWidth="1"/>
    <col min="4" max="4" width="5.77734375" style="75" hidden="1" customWidth="1"/>
    <col min="5" max="5" width="5.21875" style="75" customWidth="1"/>
    <col min="6" max="12" width="12.77734375" style="75" customWidth="1"/>
    <col min="13" max="30" width="5.7773437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Weißwasser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441</v>
      </c>
      <c r="C5" s="64" t="str">
        <f>Netzbetreiber!D28</f>
        <v>Weißwasser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439</v>
      </c>
      <c r="C6" s="355">
        <f>Netzbetreiber!$D$11</f>
        <v>9870042100006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8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9" t="s">
        <v>455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4" t="s">
        <v>583</v>
      </c>
      <c r="C10" s="365"/>
      <c r="D10" s="94">
        <v>2</v>
      </c>
      <c r="E10" s="95" t="str">
        <f>IF(ISERROR(HLOOKUP(E$11,$M$9:$AD$35,$D10,0)),"",HLOOKUP(E$11,$M$9:$AD$35,$D10,0))</f>
        <v/>
      </c>
      <c r="F10" s="362" t="s">
        <v>395</v>
      </c>
      <c r="G10" s="362"/>
      <c r="H10" s="362"/>
      <c r="I10" s="362"/>
      <c r="J10" s="362"/>
      <c r="K10" s="362"/>
      <c r="L10" s="363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4.4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4.4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4.4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4.4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4.4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4.4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4.4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4.4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4.4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4.4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4.4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4.4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77734375" style="257" customWidth="1"/>
    <col min="2" max="2" width="7" style="258" customWidth="1"/>
    <col min="3" max="3" width="27.77734375" style="237" customWidth="1"/>
    <col min="4" max="10" width="8.77734375" style="237" customWidth="1"/>
    <col min="11" max="14" width="11.44140625" style="237" customWidth="1"/>
    <col min="15" max="15" width="12.21875" style="128" customWidth="1"/>
    <col min="16" max="16" width="16.5546875" style="237" customWidth="1"/>
    <col min="17" max="16384" width="11.441406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6" t="s">
        <v>249</v>
      </c>
      <c r="B3" s="238" t="s">
        <v>86</v>
      </c>
      <c r="C3" s="239"/>
      <c r="D3" s="368" t="s">
        <v>454</v>
      </c>
      <c r="E3" s="369"/>
      <c r="F3" s="369"/>
      <c r="G3" s="369"/>
      <c r="H3" s="369"/>
      <c r="I3" s="369"/>
      <c r="J3" s="370"/>
      <c r="K3" s="240"/>
      <c r="L3" s="240"/>
      <c r="M3" s="240"/>
      <c r="N3" s="240"/>
      <c r="O3" s="241"/>
      <c r="P3" s="240"/>
    </row>
    <row r="4" spans="1:16" ht="20.100000000000001" customHeight="1">
      <c r="A4" s="367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9.6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6.4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Debertshäuser, Sandra</cp:lastModifiedBy>
  <cp:lastPrinted>2015-03-20T22:59:10Z</cp:lastPrinted>
  <dcterms:created xsi:type="dcterms:W3CDTF">2015-01-15T05:25:41Z</dcterms:created>
  <dcterms:modified xsi:type="dcterms:W3CDTF">2022-02-21T08:23:35Z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